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<sst xmlns="http://schemas.openxmlformats.org/spreadsheetml/2006/main" count="93" uniqueCount="74">
  <si>
    <t>ANDRES GIL</t>
  </si>
  <si>
    <t xml:space="preserve">Caja y Bancos </t>
  </si>
  <si>
    <t xml:space="preserve">Cuentas x pagar </t>
  </si>
  <si>
    <t xml:space="preserve">Inventarios </t>
  </si>
  <si>
    <t xml:space="preserve">Impuestos x pagar </t>
  </si>
  <si>
    <t xml:space="preserve">Cuentas x cobrar </t>
  </si>
  <si>
    <t xml:space="preserve">Pasivo Laboral </t>
  </si>
  <si>
    <t xml:space="preserve">Inversiones </t>
  </si>
  <si>
    <t xml:space="preserve">Préstamos bancarios </t>
  </si>
  <si>
    <t xml:space="preserve">activos Fijos </t>
  </si>
  <si>
    <t xml:space="preserve">Pasivos Totales </t>
  </si>
  <si>
    <t xml:space="preserve">Dep. Acumulada </t>
  </si>
  <si>
    <t xml:space="preserve">Capital Pagado </t>
  </si>
  <si>
    <t xml:space="preserve">Derecho de llave </t>
  </si>
  <si>
    <t xml:space="preserve">Reserva Legal </t>
  </si>
  <si>
    <t xml:space="preserve">Amort. Acumulada </t>
  </si>
  <si>
    <t xml:space="preserve">Utilidades retenidas </t>
  </si>
  <si>
    <t xml:space="preserve">Otros Activos </t>
  </si>
  <si>
    <t xml:space="preserve">Capital Preferente </t>
  </si>
  <si>
    <t>Activos Totales</t>
  </si>
  <si>
    <t>Pasivo + Capital</t>
  </si>
  <si>
    <t xml:space="preserve">Deuda </t>
  </si>
  <si>
    <t xml:space="preserve">Tasa Interés </t>
  </si>
  <si>
    <t xml:space="preserve">Capital Común </t>
  </si>
  <si>
    <t xml:space="preserve">Beta actual </t>
  </si>
  <si>
    <t xml:space="preserve">acciones comunes </t>
  </si>
  <si>
    <t>ISR</t>
  </si>
  <si>
    <t xml:space="preserve">dividendos </t>
  </si>
  <si>
    <t xml:space="preserve">PIB </t>
  </si>
  <si>
    <t xml:space="preserve">anual </t>
  </si>
  <si>
    <t xml:space="preserve">Inflación </t>
  </si>
  <si>
    <t>VN</t>
  </si>
  <si>
    <t>Impuesto ganancias</t>
  </si>
  <si>
    <t>acciones preferentes</t>
  </si>
  <si>
    <t>Bonos (tlr)</t>
  </si>
  <si>
    <t>Tasa rendimiento promedio</t>
  </si>
  <si>
    <t>Dividendo pagado</t>
  </si>
  <si>
    <t xml:space="preserve">Equity </t>
  </si>
  <si>
    <t>Préstamos bancarios</t>
  </si>
  <si>
    <t>Debt</t>
  </si>
  <si>
    <t xml:space="preserve">pago de capital </t>
  </si>
  <si>
    <t>Ratio D/C</t>
  </si>
  <si>
    <t xml:space="preserve">Inversión </t>
  </si>
  <si>
    <t xml:space="preserve">EBIT </t>
  </si>
  <si>
    <t>Escenario 1</t>
  </si>
  <si>
    <t xml:space="preserve">Escenario 2 </t>
  </si>
  <si>
    <t xml:space="preserve">Escenario 3 </t>
  </si>
  <si>
    <t>Escenario 4</t>
  </si>
  <si>
    <t xml:space="preserve">Deuda Total </t>
  </si>
  <si>
    <t>ECT</t>
  </si>
  <si>
    <t>B0</t>
  </si>
  <si>
    <t>Razón Deuda / CT</t>
  </si>
  <si>
    <t xml:space="preserve">BL </t>
  </si>
  <si>
    <t>WD</t>
  </si>
  <si>
    <t>WP</t>
  </si>
  <si>
    <t>WS</t>
  </si>
  <si>
    <t>EBITDA</t>
  </si>
  <si>
    <t>Intereses</t>
  </si>
  <si>
    <t>Utilidad antes de ISR</t>
  </si>
  <si>
    <t>Utilidad Neta</t>
  </si>
  <si>
    <t>Dividendos Preferentes</t>
  </si>
  <si>
    <t>Utilidades accionistas comunes</t>
  </si>
  <si>
    <t>Dividendos comunes</t>
  </si>
  <si>
    <t xml:space="preserve">Utilidades Retenidas </t>
  </si>
  <si>
    <t>DPA</t>
  </si>
  <si>
    <t>BL</t>
  </si>
  <si>
    <t>KS</t>
  </si>
  <si>
    <t>KS - G</t>
  </si>
  <si>
    <t xml:space="preserve">Precio por Acción </t>
  </si>
  <si>
    <t>El escenario 1 maximiza el precio por acción</t>
  </si>
  <si>
    <t xml:space="preserve">CCPP </t>
  </si>
  <si>
    <t xml:space="preserve">KD </t>
  </si>
  <si>
    <t>KP</t>
  </si>
  <si>
    <t>CCPP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</si>
</sst>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;(#,##0.00)"/>
    <numFmt numFmtId="165" formatCode="0.0%"/>
    <numFmt numFmtId="166" formatCode="#,##0;(#,##0)"/>
    <numFmt numFmtId="167" formatCode="0.0"/>
  </numFmts>
  <fonts count="5">
    <font>
      <sz val="10.0"/>
      <color rgb="FF000000"/>
      <name val="Arial"/>
    </font>
    <font>
      <b/>
    </font>
    <font/>
    <font>
      <color theme="1"/>
      <name val="Arial"/>
    </font>
    <font>
      <b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0" fontId="1" numFmtId="164" xfId="0" applyAlignment="1" applyBorder="1" applyFont="1" applyNumberFormat="1">
      <alignment readingOrder="0"/>
    </xf>
    <xf borderId="1" fillId="0" fontId="3" numFmtId="164" xfId="0" applyBorder="1" applyFont="1" applyNumberFormat="1"/>
    <xf borderId="1" fillId="0" fontId="1" numFmtId="0" xfId="0" applyAlignment="1" applyBorder="1" applyFont="1">
      <alignment readingOrder="0"/>
    </xf>
    <xf borderId="1" fillId="0" fontId="2" numFmtId="9" xfId="0" applyAlignment="1" applyBorder="1" applyFont="1" applyNumberFormat="1">
      <alignment readingOrder="0"/>
    </xf>
    <xf borderId="1" fillId="0" fontId="2" numFmtId="165" xfId="0" applyAlignment="1" applyBorder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3" numFmtId="164" xfId="0" applyFont="1" applyNumberFormat="1"/>
    <xf borderId="0" fillId="0" fontId="2" numFmtId="9" xfId="0" applyAlignment="1" applyFont="1" applyNumberFormat="1">
      <alignment readingOrder="0"/>
    </xf>
    <xf borderId="0" fillId="0" fontId="4" numFmtId="164" xfId="0" applyFont="1" applyNumberFormat="1"/>
    <xf borderId="0" fillId="0" fontId="2" numFmtId="10" xfId="0" applyAlignment="1" applyFont="1" applyNumberFormat="1">
      <alignment readingOrder="0"/>
    </xf>
    <xf borderId="0" fillId="0" fontId="4" numFmtId="3" xfId="0" applyFont="1" applyNumberFormat="1"/>
    <xf borderId="0" fillId="0" fontId="3" numFmtId="10" xfId="0" applyAlignment="1" applyFont="1" applyNumberForma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2" numFmtId="164" xfId="0" applyFont="1" applyNumberForma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164" xfId="0" applyAlignment="1" applyBorder="1" applyFont="1" applyNumberFormat="1">
      <alignment readingOrder="0"/>
    </xf>
    <xf borderId="0" fillId="0" fontId="3" numFmtId="164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4" numFmtId="0" xfId="0" applyFont="1"/>
    <xf borderId="2" fillId="0" fontId="1" numFmtId="164" xfId="0" applyAlignment="1" applyBorder="1" applyFont="1" applyNumberFormat="1">
      <alignment horizontal="center" readingOrder="0"/>
    </xf>
    <xf borderId="0" fillId="0" fontId="1" numFmtId="164" xfId="0" applyAlignment="1" applyFont="1" applyNumberFormat="1">
      <alignment horizontal="center" readingOrder="0"/>
    </xf>
    <xf borderId="2" fillId="0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3" numFmtId="9" xfId="0" applyAlignment="1" applyFont="1" applyNumberFormat="1">
      <alignment readingOrder="0"/>
    </xf>
    <xf borderId="2" fillId="0" fontId="3" numFmtId="164" xfId="0" applyAlignment="1" applyBorder="1" applyFont="1" applyNumberFormat="1">
      <alignment horizontal="center" readingOrder="0"/>
    </xf>
    <xf borderId="2" fillId="0" fontId="3" numFmtId="166" xfId="0" applyAlignment="1" applyBorder="1" applyFont="1" applyNumberFormat="1">
      <alignment horizontal="center"/>
    </xf>
    <xf borderId="0" fillId="0" fontId="3" numFmtId="166" xfId="0" applyAlignment="1" applyFont="1" applyNumberFormat="1">
      <alignment horizontal="center"/>
    </xf>
    <xf borderId="2" fillId="0" fontId="3" numFmtId="1" xfId="0" applyAlignment="1" applyBorder="1" applyFont="1" applyNumberFormat="1">
      <alignment horizontal="center"/>
    </xf>
    <xf borderId="0" fillId="0" fontId="3" numFmtId="1" xfId="0" applyAlignment="1" applyFont="1" applyNumberFormat="1">
      <alignment horizontal="center"/>
    </xf>
    <xf borderId="2" fillId="0" fontId="2" numFmtId="0" xfId="0" applyBorder="1" applyFont="1"/>
    <xf borderId="2" fillId="0" fontId="3" numFmtId="3" xfId="0" applyAlignment="1" applyBorder="1" applyFont="1" applyNumberFormat="1">
      <alignment horizontal="center"/>
    </xf>
    <xf borderId="0" fillId="0" fontId="3" numFmtId="3" xfId="0" applyAlignment="1" applyFont="1" applyNumberFormat="1">
      <alignment horizontal="center"/>
    </xf>
    <xf borderId="2" fillId="0" fontId="3" numFmtId="167" xfId="0" applyAlignment="1" applyBorder="1" applyFont="1" applyNumberFormat="1">
      <alignment horizontal="center"/>
    </xf>
    <xf borderId="0" fillId="0" fontId="3" numFmtId="167" xfId="0" applyAlignment="1" applyFont="1" applyNumberFormat="1">
      <alignment horizontal="center"/>
    </xf>
    <xf borderId="2" fillId="0" fontId="3" numFmtId="164" xfId="0" applyAlignment="1" applyBorder="1" applyFont="1" applyNumberFormat="1">
      <alignment horizontal="center"/>
    </xf>
    <xf borderId="2" fillId="2" fontId="4" numFmtId="2" xfId="0" applyAlignment="1" applyBorder="1" applyFill="1" applyFont="1" applyNumberFormat="1">
      <alignment horizontal="center"/>
    </xf>
    <xf borderId="0" fillId="0" fontId="3" numFmtId="2" xfId="0" applyAlignment="1" applyFont="1" applyNumberFormat="1">
      <alignment horizontal="center"/>
    </xf>
    <xf borderId="0" fillId="2" fontId="1" numFmtId="0" xfId="0" applyAlignment="1" applyFont="1">
      <alignment readingOrder="0"/>
    </xf>
    <xf borderId="0" fillId="2" fontId="3" numFmtId="0" xfId="0" applyFont="1"/>
    <xf borderId="0" fillId="0" fontId="2" numFmtId="165" xfId="0" applyAlignment="1" applyFont="1" applyNumberFormat="1">
      <alignment horizontal="center" readingOrder="0"/>
    </xf>
    <xf borderId="0" fillId="0" fontId="3" numFmtId="9" xfId="0" applyFont="1" applyNumberFormat="1"/>
    <xf borderId="0" fillId="0" fontId="4" numFmtId="10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8.14"/>
    <col customWidth="1" min="4" max="4" width="19.57"/>
  </cols>
  <sheetData>
    <row r="1">
      <c r="B1" s="1" t="s">
        <v>0</v>
      </c>
    </row>
    <row r="3">
      <c r="B3" s="2" t="s">
        <v>1</v>
      </c>
      <c r="C3" s="3">
        <v>4600.0</v>
      </c>
      <c r="D3" s="3" t="s">
        <v>2</v>
      </c>
      <c r="E3" s="3">
        <v>6920.0</v>
      </c>
    </row>
    <row r="4">
      <c r="B4" s="2" t="s">
        <v>3</v>
      </c>
      <c r="C4" s="3">
        <v>7800.0</v>
      </c>
      <c r="D4" s="3" t="s">
        <v>4</v>
      </c>
      <c r="E4" s="3">
        <v>3400.0</v>
      </c>
    </row>
    <row r="5">
      <c r="B5" s="2" t="s">
        <v>5</v>
      </c>
      <c r="C5" s="3">
        <v>5150.0</v>
      </c>
      <c r="D5" s="3" t="s">
        <v>6</v>
      </c>
      <c r="E5" s="3">
        <v>8750.0</v>
      </c>
    </row>
    <row r="6">
      <c r="B6" s="2" t="s">
        <v>7</v>
      </c>
      <c r="C6" s="3">
        <v>12000.0</v>
      </c>
      <c r="D6" s="3" t="s">
        <v>8</v>
      </c>
      <c r="E6" s="3">
        <v>25000.0</v>
      </c>
    </row>
    <row r="7">
      <c r="B7" s="2" t="s">
        <v>9</v>
      </c>
      <c r="C7" s="3">
        <v>37800.0</v>
      </c>
      <c r="D7" s="4" t="s">
        <v>10</v>
      </c>
      <c r="E7" s="5">
        <f>SUM(E3:E6)</f>
        <v>44070</v>
      </c>
    </row>
    <row r="8">
      <c r="B8" s="2" t="s">
        <v>11</v>
      </c>
      <c r="C8" s="3">
        <v>-6900.0</v>
      </c>
      <c r="D8" s="3" t="s">
        <v>12</v>
      </c>
      <c r="E8" s="3">
        <v>15000.0</v>
      </c>
    </row>
    <row r="9">
      <c r="B9" s="2" t="s">
        <v>13</v>
      </c>
      <c r="C9" s="3">
        <v>5000.0</v>
      </c>
      <c r="D9" s="3" t="s">
        <v>14</v>
      </c>
      <c r="E9" s="3">
        <v>1260.0</v>
      </c>
    </row>
    <row r="10">
      <c r="B10" s="2" t="s">
        <v>15</v>
      </c>
      <c r="C10" s="3">
        <v>-1500.0</v>
      </c>
      <c r="D10" s="3" t="s">
        <v>16</v>
      </c>
      <c r="E10" s="3">
        <v>2340.0</v>
      </c>
    </row>
    <row r="11">
      <c r="B11" s="2" t="s">
        <v>17</v>
      </c>
      <c r="C11" s="3">
        <v>8720.0</v>
      </c>
      <c r="D11" s="3" t="s">
        <v>18</v>
      </c>
      <c r="E11" s="3">
        <v>10000.0</v>
      </c>
    </row>
    <row r="12">
      <c r="B12" s="6" t="s">
        <v>19</v>
      </c>
      <c r="C12" s="5">
        <f>SUM(C3:C11)</f>
        <v>72670</v>
      </c>
      <c r="D12" s="4" t="s">
        <v>20</v>
      </c>
      <c r="E12" s="5">
        <f>E8+E9+E10+E11+E7</f>
        <v>72670</v>
      </c>
    </row>
    <row r="15">
      <c r="B15" s="2" t="s">
        <v>21</v>
      </c>
      <c r="C15" s="7">
        <v>0.05</v>
      </c>
      <c r="D15" s="7">
        <v>0.1</v>
      </c>
      <c r="E15" s="7">
        <v>0.2</v>
      </c>
      <c r="F15" s="7">
        <v>0.3</v>
      </c>
    </row>
    <row r="16">
      <c r="B16" s="2" t="s">
        <v>22</v>
      </c>
      <c r="C16" s="8">
        <v>0.045</v>
      </c>
      <c r="D16" s="7">
        <v>0.05</v>
      </c>
      <c r="E16" s="8">
        <v>0.065</v>
      </c>
      <c r="F16" s="7">
        <v>0.08</v>
      </c>
    </row>
    <row r="17">
      <c r="B17" s="2" t="s">
        <v>23</v>
      </c>
      <c r="C17" s="7">
        <v>0.9</v>
      </c>
      <c r="D17" s="7">
        <v>0.65</v>
      </c>
      <c r="E17" s="7">
        <v>0.2</v>
      </c>
      <c r="F17" s="7">
        <v>0.1</v>
      </c>
    </row>
    <row r="18">
      <c r="B18" s="2" t="s">
        <v>18</v>
      </c>
      <c r="C18" s="7">
        <v>0.05</v>
      </c>
      <c r="D18" s="7">
        <v>0.25</v>
      </c>
      <c r="E18" s="7">
        <v>0.6</v>
      </c>
      <c r="F18" s="7">
        <v>0.6</v>
      </c>
    </row>
    <row r="21">
      <c r="B21" s="9" t="s">
        <v>24</v>
      </c>
      <c r="C21" s="9">
        <v>1.35</v>
      </c>
      <c r="E21" s="10">
        <v>500.0</v>
      </c>
      <c r="F21" s="10" t="s">
        <v>25</v>
      </c>
      <c r="G21" s="11"/>
      <c r="H21" s="11"/>
    </row>
    <row r="22">
      <c r="B22" s="9" t="s">
        <v>26</v>
      </c>
      <c r="C22" s="12">
        <v>0.25</v>
      </c>
      <c r="E22" s="12">
        <v>0.6</v>
      </c>
      <c r="F22" s="10" t="s">
        <v>27</v>
      </c>
      <c r="G22" s="11"/>
      <c r="H22" s="11"/>
    </row>
    <row r="23">
      <c r="B23" s="9" t="s">
        <v>28</v>
      </c>
      <c r="C23" s="12">
        <v>-0.02</v>
      </c>
      <c r="E23" s="12">
        <v>0.01</v>
      </c>
      <c r="F23" s="10" t="s">
        <v>29</v>
      </c>
      <c r="G23" s="11"/>
      <c r="H23" s="11"/>
    </row>
    <row r="24">
      <c r="B24" s="9" t="s">
        <v>30</v>
      </c>
      <c r="C24" s="12">
        <v>0.02</v>
      </c>
      <c r="E24" s="13">
        <f>E8/E21</f>
        <v>30</v>
      </c>
      <c r="F24" s="10" t="s">
        <v>31</v>
      </c>
      <c r="G24" s="11"/>
      <c r="H24" s="11"/>
    </row>
    <row r="25">
      <c r="B25" s="9" t="s">
        <v>32</v>
      </c>
      <c r="C25" s="12">
        <v>0.1</v>
      </c>
      <c r="E25" s="10">
        <v>5000.0</v>
      </c>
      <c r="F25" s="10" t="s">
        <v>33</v>
      </c>
      <c r="G25" s="11"/>
      <c r="H25" s="11"/>
    </row>
    <row r="26">
      <c r="B26" s="9" t="s">
        <v>34</v>
      </c>
      <c r="C26" s="14">
        <v>0.03</v>
      </c>
      <c r="E26" s="14">
        <v>0.09</v>
      </c>
      <c r="F26" s="10" t="s">
        <v>27</v>
      </c>
      <c r="G26" s="11"/>
      <c r="H26" s="11"/>
    </row>
    <row r="27">
      <c r="B27" s="9" t="s">
        <v>35</v>
      </c>
      <c r="C27" s="14">
        <v>0.12</v>
      </c>
      <c r="E27" s="15">
        <f>E25*E26</f>
        <v>450</v>
      </c>
      <c r="F27" s="10" t="s">
        <v>36</v>
      </c>
      <c r="G27" s="11"/>
      <c r="H27" s="11"/>
    </row>
    <row r="28">
      <c r="E28" s="16"/>
      <c r="F28" s="17"/>
      <c r="G28" s="11"/>
      <c r="H28" s="11"/>
    </row>
    <row r="29">
      <c r="B29" s="18" t="s">
        <v>37</v>
      </c>
      <c r="C29" s="11">
        <f>E11+E8+E10+E9</f>
        <v>28600</v>
      </c>
      <c r="E29" s="14">
        <v>0.065</v>
      </c>
      <c r="F29" s="10" t="s">
        <v>38</v>
      </c>
      <c r="G29" s="11"/>
      <c r="H29" s="11"/>
    </row>
    <row r="30">
      <c r="B30" s="18" t="s">
        <v>39</v>
      </c>
      <c r="C30" s="11">
        <f>E6</f>
        <v>25000</v>
      </c>
      <c r="E30" s="10">
        <v>1.0</v>
      </c>
      <c r="F30" s="10" t="s">
        <v>40</v>
      </c>
      <c r="G30" s="11"/>
      <c r="H30" s="11"/>
    </row>
    <row r="31">
      <c r="B31" s="9" t="s">
        <v>41</v>
      </c>
      <c r="C31" s="17">
        <f>C30/C29</f>
        <v>0.8741258741</v>
      </c>
      <c r="D31" s="11"/>
      <c r="E31" s="11"/>
      <c r="F31" s="11"/>
      <c r="G31" s="11"/>
      <c r="H31" s="11"/>
    </row>
    <row r="32">
      <c r="B32" s="18"/>
      <c r="C32" s="17"/>
      <c r="D32" s="11"/>
      <c r="E32" s="11"/>
      <c r="F32" s="11"/>
      <c r="G32" s="11"/>
      <c r="H32" s="11"/>
    </row>
    <row r="33">
      <c r="B33" s="9" t="s">
        <v>42</v>
      </c>
      <c r="C33" s="10">
        <v>2500.0</v>
      </c>
      <c r="D33" s="19"/>
      <c r="E33" s="19"/>
      <c r="F33" s="11"/>
      <c r="G33" s="11"/>
      <c r="H33" s="11"/>
    </row>
    <row r="34">
      <c r="B34" s="9" t="s">
        <v>43</v>
      </c>
      <c r="C34" s="10">
        <v>7600.0</v>
      </c>
      <c r="D34" s="19"/>
      <c r="E34" s="19"/>
      <c r="F34" s="11"/>
      <c r="G34" s="11"/>
      <c r="H34" s="11"/>
    </row>
    <row r="35">
      <c r="C35" s="19"/>
      <c r="D35" s="19"/>
      <c r="E35" s="19"/>
      <c r="F35" s="11"/>
      <c r="G35" s="11"/>
      <c r="H35" s="11"/>
    </row>
    <row r="36">
      <c r="B36" s="18"/>
      <c r="C36" s="20"/>
      <c r="D36" s="20"/>
      <c r="E36" s="20"/>
      <c r="F36" s="20"/>
      <c r="G36" s="11"/>
      <c r="H36" s="11"/>
    </row>
    <row r="37">
      <c r="B37" s="18"/>
      <c r="C37" s="20" t="s">
        <v>44</v>
      </c>
      <c r="D37" s="20" t="s">
        <v>45</v>
      </c>
      <c r="E37" s="20" t="s">
        <v>46</v>
      </c>
      <c r="F37" s="20" t="s">
        <v>47</v>
      </c>
      <c r="G37" s="11"/>
      <c r="H37" s="11"/>
    </row>
    <row r="38">
      <c r="B38" s="21" t="s">
        <v>21</v>
      </c>
      <c r="C38" s="22">
        <f>C33*C15</f>
        <v>125</v>
      </c>
      <c r="D38" s="22">
        <f t="shared" ref="D38:F38" si="1">2500*D15</f>
        <v>250</v>
      </c>
      <c r="E38" s="22">
        <f t="shared" si="1"/>
        <v>500</v>
      </c>
      <c r="F38" s="22">
        <f t="shared" si="1"/>
        <v>750</v>
      </c>
      <c r="G38" s="11"/>
      <c r="H38" s="11"/>
    </row>
    <row r="39">
      <c r="B39" s="2" t="s">
        <v>22</v>
      </c>
      <c r="C39" s="22">
        <f t="shared" ref="C39:F39" si="2">2500*C16</f>
        <v>112.5</v>
      </c>
      <c r="D39" s="22">
        <f t="shared" si="2"/>
        <v>125</v>
      </c>
      <c r="E39" s="22">
        <f t="shared" si="2"/>
        <v>162.5</v>
      </c>
      <c r="F39" s="22">
        <f t="shared" si="2"/>
        <v>200</v>
      </c>
      <c r="G39" s="11"/>
      <c r="H39" s="11"/>
    </row>
    <row r="40">
      <c r="B40" s="2" t="s">
        <v>48</v>
      </c>
      <c r="C40" s="22">
        <f t="shared" ref="C40:F40" si="3">C38+C39</f>
        <v>237.5</v>
      </c>
      <c r="D40" s="22">
        <f t="shared" si="3"/>
        <v>375</v>
      </c>
      <c r="E40" s="22">
        <f t="shared" si="3"/>
        <v>662.5</v>
      </c>
      <c r="F40" s="22">
        <f t="shared" si="3"/>
        <v>950</v>
      </c>
      <c r="G40" s="11"/>
      <c r="H40" s="11"/>
    </row>
    <row r="41">
      <c r="B41" s="2" t="s">
        <v>23</v>
      </c>
      <c r="C41" s="22">
        <f t="shared" ref="C41:F41" si="4">2500*C17</f>
        <v>2250</v>
      </c>
      <c r="D41" s="22">
        <f t="shared" si="4"/>
        <v>1625</v>
      </c>
      <c r="E41" s="22">
        <f t="shared" si="4"/>
        <v>500</v>
      </c>
      <c r="F41" s="22">
        <f t="shared" si="4"/>
        <v>250</v>
      </c>
      <c r="G41" s="11"/>
      <c r="H41" s="11"/>
    </row>
    <row r="42">
      <c r="B42" s="2" t="s">
        <v>18</v>
      </c>
      <c r="C42" s="22">
        <f t="shared" ref="C42:F42" si="5">2500*C18</f>
        <v>125</v>
      </c>
      <c r="D42" s="22">
        <f t="shared" si="5"/>
        <v>625</v>
      </c>
      <c r="E42" s="22">
        <f t="shared" si="5"/>
        <v>1500</v>
      </c>
      <c r="F42" s="22">
        <f t="shared" si="5"/>
        <v>1500</v>
      </c>
      <c r="G42" s="11"/>
      <c r="H42" s="11"/>
    </row>
    <row r="43">
      <c r="B43" s="9" t="s">
        <v>49</v>
      </c>
      <c r="C43" s="17">
        <f t="shared" ref="C43:F43" si="6">C40+C41+C42</f>
        <v>2612.5</v>
      </c>
      <c r="D43" s="17">
        <f t="shared" si="6"/>
        <v>2625</v>
      </c>
      <c r="E43" s="17">
        <f t="shared" si="6"/>
        <v>2662.5</v>
      </c>
      <c r="F43" s="17">
        <f t="shared" si="6"/>
        <v>2700</v>
      </c>
      <c r="G43" s="11"/>
      <c r="H43" s="11"/>
    </row>
    <row r="44">
      <c r="C44" s="19"/>
      <c r="D44" s="19"/>
      <c r="E44" s="19"/>
      <c r="F44" s="11"/>
      <c r="G44" s="11"/>
      <c r="H44" s="11"/>
    </row>
    <row r="45">
      <c r="B45" s="18" t="s">
        <v>50</v>
      </c>
      <c r="C45" s="23">
        <f>C21/(1+((1-C22)*(C31)))</f>
        <v>0.8154171067</v>
      </c>
      <c r="D45" s="19"/>
      <c r="E45" s="19"/>
      <c r="F45" s="11"/>
      <c r="G45" s="11"/>
      <c r="H45" s="11"/>
    </row>
    <row r="46">
      <c r="B46" s="18" t="s">
        <v>51</v>
      </c>
      <c r="C46" s="23">
        <f t="shared" ref="C46:F46" si="7">C40/C41+C42</f>
        <v>125.1055556</v>
      </c>
      <c r="D46" s="23">
        <f t="shared" si="7"/>
        <v>625.2307692</v>
      </c>
      <c r="E46" s="23">
        <f t="shared" si="7"/>
        <v>1501.325</v>
      </c>
      <c r="F46" s="23">
        <f t="shared" si="7"/>
        <v>1503.8</v>
      </c>
      <c r="G46" s="11"/>
      <c r="H46" s="11"/>
    </row>
    <row r="47">
      <c r="B47" s="18" t="s">
        <v>52</v>
      </c>
      <c r="C47" s="23">
        <f>C45*(1+((1-C22)*(C46)))</f>
        <v>77.32532471</v>
      </c>
      <c r="D47" s="23">
        <f>C45*(1+((1-C22)*(D46)))</f>
        <v>383.1833157</v>
      </c>
      <c r="E47" s="23">
        <f>C45*(1+((1-C22)*(E46)))</f>
        <v>918.9699828</v>
      </c>
      <c r="F47" s="23">
        <f>C45*(1+((1-C22)*(F46)))</f>
        <v>920.4836008</v>
      </c>
      <c r="G47" s="11"/>
      <c r="H47" s="11"/>
    </row>
    <row r="48">
      <c r="C48" s="19"/>
      <c r="D48" s="19"/>
      <c r="E48" s="19"/>
      <c r="F48" s="11"/>
      <c r="G48" s="11"/>
      <c r="H48" s="11"/>
    </row>
    <row r="49">
      <c r="B49" s="9" t="s">
        <v>53</v>
      </c>
      <c r="C49" s="24">
        <f t="shared" ref="C49:F49" si="8">C40/C43</f>
        <v>0.09090909091</v>
      </c>
      <c r="D49" s="24">
        <f t="shared" si="8"/>
        <v>0.1428571429</v>
      </c>
      <c r="E49" s="24">
        <f t="shared" si="8"/>
        <v>0.2488262911</v>
      </c>
      <c r="F49" s="24">
        <f t="shared" si="8"/>
        <v>0.3518518519</v>
      </c>
      <c r="G49" s="11"/>
      <c r="H49" s="11"/>
    </row>
    <row r="50">
      <c r="B50" s="18" t="s">
        <v>54</v>
      </c>
      <c r="C50" s="24">
        <f t="shared" ref="C50:F50" si="9">C42/C43</f>
        <v>0.04784688995</v>
      </c>
      <c r="D50" s="24">
        <f t="shared" si="9"/>
        <v>0.2380952381</v>
      </c>
      <c r="E50" s="24">
        <f t="shared" si="9"/>
        <v>0.5633802817</v>
      </c>
      <c r="F50" s="24">
        <f t="shared" si="9"/>
        <v>0.5555555556</v>
      </c>
      <c r="G50" s="11"/>
      <c r="H50" s="11"/>
    </row>
    <row r="51">
      <c r="B51" s="18" t="s">
        <v>55</v>
      </c>
      <c r="C51" s="24">
        <f t="shared" ref="C51:F51" si="10">C41/C43</f>
        <v>0.8612440191</v>
      </c>
      <c r="D51" s="24">
        <f t="shared" si="10"/>
        <v>0.619047619</v>
      </c>
      <c r="E51" s="24">
        <f t="shared" si="10"/>
        <v>0.1877934272</v>
      </c>
      <c r="F51" s="24">
        <f t="shared" si="10"/>
        <v>0.09259259259</v>
      </c>
      <c r="G51" s="11"/>
      <c r="H51" s="11"/>
    </row>
    <row r="52">
      <c r="C52" s="19"/>
      <c r="D52" s="19"/>
      <c r="E52" s="19"/>
      <c r="F52" s="11"/>
      <c r="G52" s="11"/>
      <c r="H52" s="11"/>
    </row>
    <row r="53">
      <c r="E53" s="19"/>
      <c r="F53" s="11"/>
      <c r="G53" s="11"/>
      <c r="H53" s="11"/>
    </row>
    <row r="54">
      <c r="B54" s="25"/>
      <c r="C54" s="26" t="s">
        <v>44</v>
      </c>
      <c r="D54" s="27" t="s">
        <v>45</v>
      </c>
      <c r="E54" s="27" t="s">
        <v>46</v>
      </c>
      <c r="F54" s="27" t="s">
        <v>47</v>
      </c>
      <c r="G54" s="11"/>
      <c r="H54" s="11"/>
    </row>
    <row r="55">
      <c r="B55" s="18" t="s">
        <v>56</v>
      </c>
      <c r="C55" s="28">
        <f>7600</f>
        <v>7600</v>
      </c>
      <c r="D55" s="29">
        <f t="shared" ref="D55:F55" si="11">C55</f>
        <v>7600</v>
      </c>
      <c r="E55" s="29">
        <f t="shared" si="11"/>
        <v>7600</v>
      </c>
      <c r="F55" s="29">
        <f t="shared" si="11"/>
        <v>7600</v>
      </c>
      <c r="G55" s="11"/>
      <c r="H55" s="11"/>
    </row>
    <row r="56">
      <c r="A56" s="30"/>
      <c r="B56" s="9" t="s">
        <v>57</v>
      </c>
      <c r="C56" s="31">
        <f>112.5</f>
        <v>112.5</v>
      </c>
      <c r="D56" s="20">
        <v>125.0</v>
      </c>
      <c r="E56" s="20">
        <v>162.5</v>
      </c>
      <c r="F56" s="20">
        <v>200.0</v>
      </c>
      <c r="G56" s="11"/>
      <c r="H56" s="11"/>
    </row>
    <row r="57">
      <c r="A57" s="30"/>
      <c r="B57" s="9" t="s">
        <v>58</v>
      </c>
      <c r="C57" s="32">
        <f t="shared" ref="C57:F57" si="12">C55-C56</f>
        <v>7487.5</v>
      </c>
      <c r="D57" s="33">
        <f t="shared" si="12"/>
        <v>7475</v>
      </c>
      <c r="E57" s="33">
        <f t="shared" si="12"/>
        <v>7437.5</v>
      </c>
      <c r="F57" s="33">
        <f t="shared" si="12"/>
        <v>7400</v>
      </c>
      <c r="G57" s="11"/>
      <c r="H57" s="11"/>
    </row>
    <row r="58">
      <c r="A58" s="30">
        <v>0.25</v>
      </c>
      <c r="B58" s="18" t="s">
        <v>26</v>
      </c>
      <c r="C58" s="34">
        <f t="shared" ref="C58:F58" si="13">C57*25%</f>
        <v>1871.875</v>
      </c>
      <c r="D58" s="35">
        <f t="shared" si="13"/>
        <v>1868.75</v>
      </c>
      <c r="E58" s="35">
        <f t="shared" si="13"/>
        <v>1859.375</v>
      </c>
      <c r="F58" s="35">
        <f t="shared" si="13"/>
        <v>1850</v>
      </c>
      <c r="G58" s="11"/>
      <c r="H58" s="11"/>
    </row>
    <row r="59">
      <c r="B59" s="18" t="s">
        <v>59</v>
      </c>
      <c r="C59" s="34">
        <f t="shared" ref="C59:F59" si="14">C57-C58</f>
        <v>5615.625</v>
      </c>
      <c r="D59" s="35">
        <f t="shared" si="14"/>
        <v>5606.25</v>
      </c>
      <c r="E59" s="35">
        <f t="shared" si="14"/>
        <v>5578.125</v>
      </c>
      <c r="F59" s="35">
        <f t="shared" si="14"/>
        <v>5550</v>
      </c>
      <c r="G59" s="11"/>
      <c r="H59" s="11"/>
    </row>
    <row r="60">
      <c r="C60" s="36"/>
      <c r="E60" s="19"/>
      <c r="F60" s="11"/>
      <c r="G60" s="11"/>
      <c r="H60" s="11"/>
    </row>
    <row r="61">
      <c r="B61" s="18" t="s">
        <v>60</v>
      </c>
      <c r="C61" s="37">
        <f>E27</f>
        <v>450</v>
      </c>
      <c r="D61" s="38">
        <f t="shared" ref="D61:F61" si="15">C61</f>
        <v>450</v>
      </c>
      <c r="E61" s="38">
        <f t="shared" si="15"/>
        <v>450</v>
      </c>
      <c r="F61" s="38">
        <f t="shared" si="15"/>
        <v>450</v>
      </c>
      <c r="G61" s="11"/>
      <c r="H61" s="11"/>
    </row>
    <row r="62">
      <c r="B62" s="18" t="s">
        <v>61</v>
      </c>
      <c r="C62" s="34">
        <f t="shared" ref="C62:F62" si="16">C59-C61</f>
        <v>5165.625</v>
      </c>
      <c r="D62" s="35">
        <f t="shared" si="16"/>
        <v>5156.25</v>
      </c>
      <c r="E62" s="35">
        <f t="shared" si="16"/>
        <v>5128.125</v>
      </c>
      <c r="F62" s="35">
        <f t="shared" si="16"/>
        <v>5100</v>
      </c>
      <c r="G62" s="11"/>
      <c r="H62" s="11"/>
    </row>
    <row r="63">
      <c r="C63" s="36"/>
      <c r="E63" s="19"/>
      <c r="F63" s="11"/>
      <c r="G63" s="11"/>
      <c r="H63" s="11"/>
    </row>
    <row r="64">
      <c r="A64" s="30">
        <v>0.6</v>
      </c>
      <c r="B64" s="18" t="s">
        <v>62</v>
      </c>
      <c r="C64" s="34">
        <f t="shared" ref="C64:F64" si="17">C62*60%</f>
        <v>3099.375</v>
      </c>
      <c r="D64" s="35">
        <f t="shared" si="17"/>
        <v>3093.75</v>
      </c>
      <c r="E64" s="35">
        <f t="shared" si="17"/>
        <v>3076.875</v>
      </c>
      <c r="F64" s="35">
        <f t="shared" si="17"/>
        <v>3060</v>
      </c>
      <c r="G64" s="11"/>
      <c r="H64" s="11"/>
    </row>
    <row r="65">
      <c r="A65" s="30">
        <v>0.4</v>
      </c>
      <c r="B65" s="18" t="s">
        <v>63</v>
      </c>
      <c r="C65" s="34">
        <f t="shared" ref="C65:F65" si="18">C62*40%</f>
        <v>2066.25</v>
      </c>
      <c r="D65" s="35">
        <f t="shared" si="18"/>
        <v>2062.5</v>
      </c>
      <c r="E65" s="35">
        <f t="shared" si="18"/>
        <v>2051.25</v>
      </c>
      <c r="F65" s="35">
        <f t="shared" si="18"/>
        <v>2040</v>
      </c>
      <c r="G65" s="11"/>
      <c r="H65" s="11"/>
    </row>
    <row r="66">
      <c r="B66" s="18" t="s">
        <v>64</v>
      </c>
      <c r="C66" s="39">
        <f t="shared" ref="C66:F66" si="19">C64/C41</f>
        <v>1.3775</v>
      </c>
      <c r="D66" s="40">
        <f t="shared" si="19"/>
        <v>1.903846154</v>
      </c>
      <c r="E66" s="40">
        <f t="shared" si="19"/>
        <v>6.15375</v>
      </c>
      <c r="F66" s="40">
        <f t="shared" si="19"/>
        <v>12.24</v>
      </c>
      <c r="G66" s="11"/>
      <c r="H66" s="11"/>
    </row>
    <row r="67">
      <c r="C67" s="36"/>
      <c r="E67" s="19"/>
      <c r="F67" s="11"/>
      <c r="G67" s="11"/>
      <c r="H67" s="11"/>
    </row>
    <row r="68">
      <c r="B68" s="18" t="s">
        <v>65</v>
      </c>
      <c r="C68" s="41">
        <f t="shared" ref="C68:F68" si="20">C47</f>
        <v>77.32532471</v>
      </c>
      <c r="D68" s="23">
        <f t="shared" si="20"/>
        <v>383.1833157</v>
      </c>
      <c r="E68" s="23">
        <f t="shared" si="20"/>
        <v>918.9699828</v>
      </c>
      <c r="F68" s="23">
        <f t="shared" si="20"/>
        <v>920.4836008</v>
      </c>
      <c r="G68" s="11"/>
      <c r="H68" s="11"/>
    </row>
    <row r="69">
      <c r="B69" s="9" t="s">
        <v>66</v>
      </c>
      <c r="C69" s="41">
        <f>C26+C68*(C27-C26)</f>
        <v>6.989279224</v>
      </c>
      <c r="D69" s="23">
        <f>C26+D68*(C27-C26)</f>
        <v>34.51649842</v>
      </c>
      <c r="E69" s="23">
        <f>C26+E68*(C27-C26)</f>
        <v>82.73729846</v>
      </c>
      <c r="F69" s="23">
        <f>C26+F68*(C27-C26)</f>
        <v>82.87352408</v>
      </c>
      <c r="G69" s="11"/>
      <c r="H69" s="11"/>
    </row>
    <row r="70">
      <c r="B70" s="18" t="s">
        <v>67</v>
      </c>
      <c r="C70" s="41">
        <f t="shared" ref="C70:F70" si="21">C69-1%</f>
        <v>6.979279224</v>
      </c>
      <c r="D70" s="23">
        <f t="shared" si="21"/>
        <v>34.50649842</v>
      </c>
      <c r="E70" s="23">
        <f t="shared" si="21"/>
        <v>82.72729846</v>
      </c>
      <c r="F70" s="23">
        <f t="shared" si="21"/>
        <v>82.86352408</v>
      </c>
      <c r="G70" s="11"/>
      <c r="H70" s="11"/>
    </row>
    <row r="71">
      <c r="C71" s="36"/>
      <c r="E71" s="11"/>
      <c r="F71" s="11"/>
      <c r="G71" s="11"/>
      <c r="H71" s="11"/>
    </row>
    <row r="72">
      <c r="B72" s="1" t="s">
        <v>68</v>
      </c>
      <c r="C72" s="42">
        <f t="shared" ref="C72:F72" si="22">C66/C70</f>
        <v>0.1973699512</v>
      </c>
      <c r="D72" s="43">
        <f t="shared" si="22"/>
        <v>0.055173554</v>
      </c>
      <c r="E72" s="43">
        <f t="shared" si="22"/>
        <v>0.07438596588</v>
      </c>
      <c r="F72" s="43">
        <f t="shared" si="22"/>
        <v>0.1477127619</v>
      </c>
      <c r="G72" s="11"/>
      <c r="H72" s="11"/>
    </row>
    <row r="73">
      <c r="E73" s="11"/>
      <c r="F73" s="11"/>
      <c r="G73" s="11"/>
      <c r="H73" s="11"/>
    </row>
    <row r="74">
      <c r="B74" s="44" t="s">
        <v>69</v>
      </c>
      <c r="C74" s="45"/>
      <c r="E74" s="11"/>
      <c r="F74" s="11"/>
      <c r="G74" s="11"/>
      <c r="H74" s="11"/>
    </row>
    <row r="75">
      <c r="E75" s="11"/>
      <c r="F75" s="11"/>
      <c r="G75" s="11"/>
      <c r="H75" s="11"/>
    </row>
    <row r="77">
      <c r="B77" s="1" t="s">
        <v>70</v>
      </c>
      <c r="C77" s="27" t="s">
        <v>44</v>
      </c>
      <c r="D77" s="27" t="s">
        <v>45</v>
      </c>
      <c r="E77" s="27" t="s">
        <v>46</v>
      </c>
      <c r="F77" s="27" t="s">
        <v>47</v>
      </c>
    </row>
    <row r="78">
      <c r="B78" s="18" t="s">
        <v>53</v>
      </c>
      <c r="C78" s="46">
        <v>0.091</v>
      </c>
      <c r="D78" s="46">
        <v>0.143</v>
      </c>
      <c r="E78" s="46">
        <v>0.249</v>
      </c>
      <c r="F78" s="46">
        <v>0.352</v>
      </c>
    </row>
    <row r="79">
      <c r="B79" s="18" t="s">
        <v>54</v>
      </c>
      <c r="C79" s="46">
        <v>0.048</v>
      </c>
      <c r="D79" s="46">
        <v>0.238</v>
      </c>
      <c r="E79" s="46">
        <v>0.563</v>
      </c>
      <c r="F79" s="46">
        <v>0.556</v>
      </c>
    </row>
    <row r="80">
      <c r="B80" s="18" t="s">
        <v>55</v>
      </c>
      <c r="C80" s="46">
        <v>0.861</v>
      </c>
      <c r="D80" s="46">
        <v>0.619</v>
      </c>
      <c r="E80" s="46">
        <v>0.188</v>
      </c>
      <c r="F80" s="46">
        <v>0.093</v>
      </c>
    </row>
    <row r="82">
      <c r="B82" s="18" t="s">
        <v>71</v>
      </c>
      <c r="C82" s="47">
        <f>112.5%</f>
        <v>1.125</v>
      </c>
      <c r="D82" s="47">
        <f>125%</f>
        <v>1.25</v>
      </c>
      <c r="E82" s="12">
        <v>1.625</v>
      </c>
      <c r="F82" s="47">
        <f>200%</f>
        <v>2</v>
      </c>
    </row>
    <row r="83">
      <c r="B83" s="18" t="s">
        <v>72</v>
      </c>
      <c r="C83" s="12">
        <v>0.09</v>
      </c>
      <c r="D83" s="12">
        <v>0.09</v>
      </c>
      <c r="E83" s="12">
        <v>0.09</v>
      </c>
      <c r="F83" s="12">
        <v>0.09</v>
      </c>
    </row>
    <row r="84">
      <c r="B84" s="18" t="s">
        <v>66</v>
      </c>
      <c r="C84" s="47">
        <f>6.99</f>
        <v>6.99</v>
      </c>
      <c r="D84" s="12">
        <v>34.52</v>
      </c>
      <c r="E84" s="12">
        <v>82.74</v>
      </c>
      <c r="F84" s="12">
        <v>82.87</v>
      </c>
    </row>
    <row r="86">
      <c r="B86" s="1" t="s">
        <v>73</v>
      </c>
      <c r="C86" s="48">
        <f t="shared" ref="C86:F86" si="23">C82*C78*(1-25%)*C79*C83*C80*C84</f>
        <v>0.001996269871</v>
      </c>
      <c r="D86" s="48">
        <f t="shared" si="23"/>
        <v>0.06136040486</v>
      </c>
      <c r="E86" s="48">
        <f t="shared" si="23"/>
        <v>0.2391873713</v>
      </c>
      <c r="F86" s="48">
        <f t="shared" si="23"/>
        <v>0.2036251939</v>
      </c>
    </row>
  </sheetData>
  <drawing r:id="rId1"/>
</worksheet>
</file>